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ahal\Desktop\SUJCHBOPC\2020\projekty\03 Volná frakce\metodika final\"/>
    </mc:Choice>
  </mc:AlternateContent>
  <workbookProtection workbookAlgorithmName="SHA-512" workbookHashValue="eakQesH6MaliJIUzB3znpWqQsh2+SbjQKkltbuRxeiupj6LEePdbqhH45FcSDyrgz06mNwifFfpbhsms4/aeiw==" workbookSaltValue="odBejugUqPOqIhiAEOs8Wg==" workbookSpinCount="100000" lockStructure="1"/>
  <bookViews>
    <workbookView xWindow="360" yWindow="30" windowWidth="15480" windowHeight="8505"/>
  </bookViews>
  <sheets>
    <sheet name="data" sheetId="2" r:id="rId1"/>
    <sheet name="vypocet" sheetId="1" state="hidden" r:id="rId2"/>
  </sheets>
  <calcPr calcId="162913"/>
</workbook>
</file>

<file path=xl/calcChain.xml><?xml version="1.0" encoding="utf-8"?>
<calcChain xmlns="http://schemas.openxmlformats.org/spreadsheetml/2006/main">
  <c r="T6" i="1" l="1"/>
  <c r="R9" i="1"/>
  <c r="T5" i="1"/>
  <c r="T4" i="1"/>
  <c r="T3" i="1"/>
  <c r="R6" i="1"/>
  <c r="R5" i="1"/>
  <c r="R4" i="1"/>
  <c r="R3" i="1"/>
  <c r="N6" i="1"/>
  <c r="N5" i="1"/>
  <c r="N4" i="1"/>
  <c r="N3" i="1"/>
  <c r="L9" i="1"/>
  <c r="L6" i="1" l="1"/>
  <c r="W2" i="1" s="1"/>
  <c r="L5" i="1"/>
  <c r="L4" i="1"/>
  <c r="L3" i="1"/>
  <c r="G5" i="1"/>
  <c r="F5" i="1"/>
  <c r="G3" i="1"/>
  <c r="F3" i="1"/>
  <c r="C3" i="1"/>
  <c r="W19" i="1"/>
  <c r="W20" i="1"/>
  <c r="T2" i="1"/>
  <c r="R2" i="1"/>
  <c r="N2" i="1"/>
  <c r="W3" i="1"/>
  <c r="Z3" i="1" s="1"/>
  <c r="Y3" i="1" l="1"/>
  <c r="AA3" i="1" s="1"/>
  <c r="Y8" i="1" s="1"/>
  <c r="W5" i="1"/>
  <c r="Z2" i="1"/>
  <c r="Y2" i="1"/>
  <c r="L2" i="1"/>
  <c r="W4" i="1" s="1"/>
  <c r="R16" i="1"/>
  <c r="Q14" i="1"/>
  <c r="P17" i="1" s="1"/>
  <c r="P18" i="1" s="1"/>
  <c r="J14" i="1"/>
  <c r="J17" i="1" s="1"/>
  <c r="J20" i="1" s="1"/>
  <c r="J25" i="1" s="1"/>
  <c r="L16" i="1"/>
  <c r="AD3" i="1" l="1"/>
  <c r="Y5" i="1"/>
  <c r="Z5" i="1" s="1"/>
  <c r="Y11" i="1" s="1"/>
  <c r="W8" i="1"/>
  <c r="W11" i="1" s="1"/>
  <c r="AA2" i="1"/>
  <c r="W7" i="1"/>
  <c r="W10" i="1" s="1"/>
  <c r="R17" i="1"/>
  <c r="R20" i="1" s="1"/>
  <c r="R22" i="1" s="1"/>
  <c r="L17" i="1"/>
  <c r="L18" i="1" s="1"/>
  <c r="L23" i="1" s="1"/>
  <c r="P21" i="1"/>
  <c r="L24" i="1"/>
  <c r="AA11" i="1" l="1"/>
  <c r="AB5" i="1"/>
  <c r="W13" i="1"/>
  <c r="Y20" i="1"/>
  <c r="Z20" i="1" s="1"/>
  <c r="AA8" i="1"/>
  <c r="R23" i="1"/>
  <c r="AD2" i="1"/>
  <c r="Y7" i="1"/>
  <c r="AA7" i="1" s="1"/>
  <c r="Y4" i="1"/>
  <c r="Z4" i="1" s="1"/>
  <c r="Y19" i="1"/>
  <c r="Z19" i="1" s="1"/>
  <c r="L25" i="1"/>
  <c r="J28" i="1"/>
  <c r="P26" i="1"/>
  <c r="P25" i="1"/>
  <c r="Y10" i="1" l="1"/>
  <c r="AB4" i="1"/>
  <c r="R25" i="1"/>
  <c r="R26" i="1" s="1"/>
  <c r="L27" i="1" s="1"/>
  <c r="P30" i="1" s="1"/>
  <c r="E24" i="2" s="1"/>
  <c r="J27" i="1"/>
  <c r="N30" i="1" s="1"/>
  <c r="Y13" i="1" l="1"/>
  <c r="AA13" i="1" s="1"/>
  <c r="AA10" i="1"/>
  <c r="Q30" i="1" l="1"/>
  <c r="E25" i="2" s="1"/>
</calcChain>
</file>

<file path=xl/sharedStrings.xml><?xml version="1.0" encoding="utf-8"?>
<sst xmlns="http://schemas.openxmlformats.org/spreadsheetml/2006/main" count="154" uniqueCount="98">
  <si>
    <t>Q l/min</t>
  </si>
  <si>
    <t>A</t>
  </si>
  <si>
    <t>C</t>
  </si>
  <si>
    <t>N1</t>
  </si>
  <si>
    <t>N4</t>
  </si>
  <si>
    <t>síť</t>
  </si>
  <si>
    <t>podfiltr</t>
  </si>
  <si>
    <t>úč det:</t>
  </si>
  <si>
    <t>OA RaA</t>
  </si>
  <si>
    <t>NEMĚNIT</t>
  </si>
  <si>
    <t>pozadí Np</t>
  </si>
  <si>
    <t>Bylo 20?</t>
  </si>
  <si>
    <t>za 1800s</t>
  </si>
  <si>
    <t>N2</t>
  </si>
  <si>
    <t>N3</t>
  </si>
  <si>
    <t>za 30 min:</t>
  </si>
  <si>
    <t>imp pro RaA</t>
  </si>
  <si>
    <t xml:space="preserve">bez oprav: </t>
  </si>
  <si>
    <t xml:space="preserve">Ne-li: změnit! </t>
  </si>
  <si>
    <t>imp pro EOAR</t>
  </si>
  <si>
    <t>OA RaA volné:</t>
  </si>
  <si>
    <t>OA RaA vázané:</t>
  </si>
  <si>
    <t>výpočet OA RaA</t>
  </si>
  <si>
    <t>volné EOAR</t>
  </si>
  <si>
    <t>nezáporné</t>
  </si>
  <si>
    <t>celkové EOAR</t>
  </si>
  <si>
    <t>celkové OA RaA</t>
  </si>
  <si>
    <t>účinnost filtrace</t>
  </si>
  <si>
    <t>BFúQ</t>
  </si>
  <si>
    <t>bez A</t>
  </si>
  <si>
    <t>ú,Q:</t>
  </si>
  <si>
    <t xml:space="preserve">mínus vliv A volné </t>
  </si>
  <si>
    <t>odečteno pozadí</t>
  </si>
  <si>
    <t>EA volné</t>
  </si>
  <si>
    <t>EA váz</t>
  </si>
  <si>
    <t>bez volnBC</t>
  </si>
  <si>
    <t xml:space="preserve">tail a pozadí </t>
  </si>
  <si>
    <t xml:space="preserve">č,ú,Q:  </t>
  </si>
  <si>
    <t xml:space="preserve">č,ú,Q: </t>
  </si>
  <si>
    <t>vázané</t>
  </si>
  <si>
    <t>volné</t>
  </si>
  <si>
    <t>EOARBC</t>
  </si>
  <si>
    <t>vázané EOAR:</t>
  </si>
  <si>
    <t>za 3 min</t>
  </si>
  <si>
    <t>také</t>
  </si>
  <si>
    <t>EOAR</t>
  </si>
  <si>
    <t>tail:</t>
  </si>
  <si>
    <t>tail síť</t>
  </si>
  <si>
    <t>tail podf</t>
  </si>
  <si>
    <t>nej.tail síť</t>
  </si>
  <si>
    <t>nej.tail podf</t>
  </si>
  <si>
    <t>rel</t>
  </si>
  <si>
    <t>rel.</t>
  </si>
  <si>
    <t>nej.</t>
  </si>
  <si>
    <t>Ef</t>
  </si>
  <si>
    <t>Ea</t>
  </si>
  <si>
    <t>KONTROLA</t>
  </si>
  <si>
    <t>Af OK</t>
  </si>
  <si>
    <t>Aa OK</t>
  </si>
  <si>
    <t xml:space="preserve">nej. </t>
  </si>
  <si>
    <t>A f</t>
  </si>
  <si>
    <t>A a</t>
  </si>
  <si>
    <t>nej A f</t>
  </si>
  <si>
    <t>nej A a</t>
  </si>
  <si>
    <t>EBCf</t>
  </si>
  <si>
    <t>EBCa</t>
  </si>
  <si>
    <t xml:space="preserve">rel. </t>
  </si>
  <si>
    <t>W19-Z20 kontrola</t>
  </si>
  <si>
    <t>fp</t>
  </si>
  <si>
    <t>BLOK NEJISTOTY</t>
  </si>
  <si>
    <t>nejistota k=1</t>
  </si>
  <si>
    <t>Vstupní parametry stanovení fp metodou BUROT</t>
  </si>
  <si>
    <t>Objemová rychlost</t>
  </si>
  <si>
    <t>l/min</t>
  </si>
  <si>
    <t>Po-218</t>
  </si>
  <si>
    <t>Po-214</t>
  </si>
  <si>
    <t>Np - mříž</t>
  </si>
  <si>
    <t>1800 s</t>
  </si>
  <si>
    <t>Np - filtr</t>
  </si>
  <si>
    <t>N1 - mříž</t>
  </si>
  <si>
    <t>180 s</t>
  </si>
  <si>
    <t>N2 - mříž</t>
  </si>
  <si>
    <t>N3 - mříž</t>
  </si>
  <si>
    <t>N4 - mříž</t>
  </si>
  <si>
    <t>úč. detekce - mříž</t>
  </si>
  <si>
    <t>N1 - filtr</t>
  </si>
  <si>
    <t>N2 - filtr</t>
  </si>
  <si>
    <t>N3 - filtr</t>
  </si>
  <si>
    <t>N4 - filtr</t>
  </si>
  <si>
    <t>úč. detekce - filtr</t>
  </si>
  <si>
    <r>
      <t>Výsledek stanovení f</t>
    </r>
    <r>
      <rPr>
        <b/>
        <vertAlign val="subscript"/>
        <sz val="11"/>
        <color theme="1"/>
        <rFont val="Calibri"/>
        <family val="2"/>
        <charset val="238"/>
        <scheme val="minor"/>
      </rPr>
      <t>p</t>
    </r>
  </si>
  <si>
    <t>nejistota (k=1)</t>
  </si>
  <si>
    <r>
      <t>f</t>
    </r>
    <r>
      <rPr>
        <b/>
        <vertAlign val="subscript"/>
        <sz val="11"/>
        <color theme="1"/>
        <rFont val="Calibri"/>
        <family val="2"/>
        <charset val="238"/>
        <scheme val="minor"/>
      </rPr>
      <t>p</t>
    </r>
  </si>
  <si>
    <r>
      <t xml:space="preserve">korekce </t>
    </r>
    <r>
      <rPr>
        <sz val="11"/>
        <color theme="0"/>
        <rFont val="Symbol"/>
        <family val="1"/>
        <charset val="2"/>
      </rPr>
      <t>h</t>
    </r>
    <r>
      <rPr>
        <sz val="11"/>
        <color theme="0"/>
        <rFont val="Calibri"/>
        <family val="2"/>
        <charset val="238"/>
      </rPr>
      <t xml:space="preserve">.BF </t>
    </r>
  </si>
  <si>
    <r>
      <rPr>
        <sz val="11"/>
        <color theme="0"/>
        <rFont val="Calibri"/>
        <family val="2"/>
        <charset val="238"/>
      </rPr>
      <t xml:space="preserve">úč.zách. </t>
    </r>
    <r>
      <rPr>
        <sz val="11"/>
        <color theme="0"/>
        <rFont val="Symbol"/>
        <family val="1"/>
        <charset val="2"/>
      </rPr>
      <t xml:space="preserve">h </t>
    </r>
  </si>
  <si>
    <r>
      <t>přepočet na E(</t>
    </r>
    <r>
      <rPr>
        <sz val="8"/>
        <color theme="0"/>
        <rFont val="Calibri"/>
        <family val="2"/>
        <charset val="238"/>
      </rPr>
      <t>BC)</t>
    </r>
  </si>
  <si>
    <r>
      <t xml:space="preserve">               f</t>
    </r>
    <r>
      <rPr>
        <b/>
        <vertAlign val="subscript"/>
        <sz val="11"/>
        <color theme="0"/>
        <rFont val="Calibri"/>
        <family val="2"/>
        <charset val="238"/>
      </rPr>
      <t>A</t>
    </r>
  </si>
  <si>
    <r>
      <t xml:space="preserve">                              f</t>
    </r>
    <r>
      <rPr>
        <b/>
        <vertAlign val="subscript"/>
        <sz val="11"/>
        <color theme="0"/>
        <rFont val="Calibri"/>
        <family val="2"/>
        <charset val="238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</si>
</sst>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2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9"/>
      <color theme="0"/>
      <name val="Arial Black"/>
      <family val="2"/>
      <charset val="238"/>
    </font>
    <font>
      <sz val="8"/>
      <color theme="0"/>
      <name val="Calibri"/>
      <family val="2"/>
      <charset val="238"/>
    </font>
    <font>
      <b/>
      <i/>
      <sz val="9"/>
      <color theme="0"/>
      <name val="Calibri"/>
      <family val="2"/>
      <charset val="238"/>
    </font>
    <font>
      <i/>
      <sz val="9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theme="0"/>
      <name val="Symbol"/>
      <family val="1"/>
      <charset val="2"/>
    </font>
    <font>
      <sz val="12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i/>
      <sz val="10"/>
      <color theme="0"/>
      <name val="Calibri"/>
      <family val="2"/>
      <charset val="238"/>
    </font>
    <font>
      <sz val="14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0"/>
      <color theme="0"/>
      <name val="Calibri"/>
      <family val="2"/>
      <charset val="238"/>
    </font>
    <font>
      <b/>
      <vertAlign val="subscript"/>
      <sz val="11"/>
      <color theme="0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165" fontId="5" fillId="0" borderId="0" xfId="0" applyNumberFormat="1" applyFont="1" applyFill="1"/>
    <xf numFmtId="167" fontId="7" fillId="0" borderId="0" xfId="0" applyNumberFormat="1" applyFont="1" applyFill="1"/>
    <xf numFmtId="167" fontId="5" fillId="0" borderId="0" xfId="0" applyNumberFormat="1" applyFont="1" applyFill="1"/>
    <xf numFmtId="0" fontId="8" fillId="0" borderId="0" xfId="0" applyFont="1" applyFill="1"/>
    <xf numFmtId="165" fontId="9" fillId="0" borderId="0" xfId="0" applyNumberFormat="1" applyFont="1" applyFill="1"/>
    <xf numFmtId="1" fontId="5" fillId="0" borderId="0" xfId="0" applyNumberFormat="1" applyFont="1" applyFill="1"/>
    <xf numFmtId="1" fontId="7" fillId="0" borderId="0" xfId="0" applyNumberFormat="1" applyFont="1" applyFill="1"/>
    <xf numFmtId="2" fontId="5" fillId="0" borderId="0" xfId="0" applyNumberFormat="1" applyFont="1" applyFill="1"/>
    <xf numFmtId="0" fontId="10" fillId="0" borderId="0" xfId="0" applyFont="1" applyFill="1"/>
    <xf numFmtId="0" fontId="9" fillId="0" borderId="0" xfId="0" applyFont="1" applyFill="1"/>
    <xf numFmtId="167" fontId="9" fillId="0" borderId="0" xfId="0" applyNumberFormat="1" applyFont="1" applyFill="1"/>
    <xf numFmtId="2" fontId="8" fillId="0" borderId="0" xfId="0" applyNumberFormat="1" applyFont="1" applyFill="1"/>
    <xf numFmtId="0" fontId="11" fillId="0" borderId="0" xfId="0" applyFont="1" applyFill="1"/>
    <xf numFmtId="166" fontId="5" fillId="0" borderId="0" xfId="0" applyNumberFormat="1" applyFont="1" applyFill="1"/>
    <xf numFmtId="0" fontId="12" fillId="0" borderId="0" xfId="0" applyFont="1" applyFill="1"/>
    <xf numFmtId="166" fontId="13" fillId="0" borderId="0" xfId="0" applyNumberFormat="1" applyFont="1" applyFill="1"/>
    <xf numFmtId="166" fontId="9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164" fontId="4" fillId="0" borderId="0" xfId="0" applyNumberFormat="1" applyFont="1" applyFill="1"/>
    <xf numFmtId="164" fontId="12" fillId="0" borderId="0" xfId="0" applyNumberFormat="1" applyFont="1" applyFill="1"/>
    <xf numFmtId="164" fontId="10" fillId="0" borderId="0" xfId="0" applyNumberFormat="1" applyFont="1" applyFill="1"/>
    <xf numFmtId="0" fontId="16" fillId="0" borderId="0" xfId="0" applyFont="1" applyFill="1"/>
    <xf numFmtId="164" fontId="7" fillId="0" borderId="0" xfId="0" applyNumberFormat="1" applyFont="1" applyFill="1"/>
    <xf numFmtId="0" fontId="17" fillId="0" borderId="0" xfId="0" applyFont="1" applyFill="1"/>
    <xf numFmtId="164" fontId="5" fillId="0" borderId="0" xfId="0" applyNumberFormat="1" applyFont="1" applyFill="1"/>
    <xf numFmtId="0" fontId="18" fillId="0" borderId="0" xfId="0" applyFont="1" applyFill="1"/>
    <xf numFmtId="165" fontId="17" fillId="0" borderId="0" xfId="0" applyNumberFormat="1" applyFont="1" applyFill="1"/>
    <xf numFmtId="165" fontId="20" fillId="0" borderId="0" xfId="0" applyNumberFormat="1" applyFont="1" applyFill="1"/>
    <xf numFmtId="166" fontId="21" fillId="0" borderId="0" xfId="0" applyNumberFormat="1" applyFont="1" applyFill="1"/>
    <xf numFmtId="0" fontId="22" fillId="0" borderId="0" xfId="0" applyFont="1" applyFill="1"/>
    <xf numFmtId="0" fontId="2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S188"/>
  <sheetViews>
    <sheetView tabSelected="1" zoomScale="130" zoomScaleNormal="130" workbookViewId="0">
      <selection activeCell="E15" sqref="E15:G15"/>
    </sheetView>
  </sheetViews>
  <sheetFormatPr defaultRowHeight="15" x14ac:dyDescent="0.25"/>
  <cols>
    <col min="1" max="3" width="9.140625" style="40"/>
    <col min="4" max="4" width="17.85546875" style="41" bestFit="1" customWidth="1"/>
    <col min="5" max="7" width="9.140625" style="41"/>
    <col min="8" max="45" width="9.140625" style="40"/>
    <col min="46" max="16384" width="9.140625" style="41"/>
  </cols>
  <sheetData>
    <row r="1" spans="4:7" s="40" customFormat="1" x14ac:dyDescent="0.25"/>
    <row r="2" spans="4:7" s="40" customFormat="1" x14ac:dyDescent="0.25"/>
    <row r="3" spans="4:7" s="40" customFormat="1" x14ac:dyDescent="0.25"/>
    <row r="4" spans="4:7" x14ac:dyDescent="0.25">
      <c r="D4" s="45" t="s">
        <v>71</v>
      </c>
      <c r="E4" s="45"/>
      <c r="F4" s="45"/>
      <c r="G4" s="45"/>
    </row>
    <row r="5" spans="4:7" x14ac:dyDescent="0.25">
      <c r="D5" s="36" t="s">
        <v>72</v>
      </c>
      <c r="E5" s="42">
        <v>22</v>
      </c>
      <c r="F5" s="44" t="s">
        <v>73</v>
      </c>
      <c r="G5" s="44"/>
    </row>
    <row r="6" spans="4:7" x14ac:dyDescent="0.25">
      <c r="D6" s="44"/>
      <c r="E6" s="44"/>
      <c r="F6" s="44"/>
      <c r="G6" s="44"/>
    </row>
    <row r="7" spans="4:7" x14ac:dyDescent="0.25">
      <c r="D7" s="37"/>
      <c r="E7" s="38" t="s">
        <v>74</v>
      </c>
      <c r="F7" s="38" t="s">
        <v>75</v>
      </c>
      <c r="G7" s="37"/>
    </row>
    <row r="8" spans="4:7" x14ac:dyDescent="0.25">
      <c r="D8" s="36" t="s">
        <v>76</v>
      </c>
      <c r="E8" s="43">
        <v>1</v>
      </c>
      <c r="F8" s="43">
        <v>1</v>
      </c>
      <c r="G8" s="36" t="s">
        <v>77</v>
      </c>
    </row>
    <row r="9" spans="4:7" x14ac:dyDescent="0.25">
      <c r="D9" s="36" t="s">
        <v>78</v>
      </c>
      <c r="E9" s="43">
        <v>1</v>
      </c>
      <c r="F9" s="43">
        <v>1</v>
      </c>
      <c r="G9" s="36" t="s">
        <v>77</v>
      </c>
    </row>
    <row r="10" spans="4:7" x14ac:dyDescent="0.25">
      <c r="D10" s="44"/>
      <c r="E10" s="44"/>
      <c r="F10" s="44"/>
      <c r="G10" s="44"/>
    </row>
    <row r="11" spans="4:7" x14ac:dyDescent="0.25">
      <c r="D11" s="36" t="s">
        <v>79</v>
      </c>
      <c r="E11" s="43">
        <v>80</v>
      </c>
      <c r="F11" s="43">
        <v>40</v>
      </c>
      <c r="G11" s="36" t="s">
        <v>80</v>
      </c>
    </row>
    <row r="12" spans="4:7" x14ac:dyDescent="0.25">
      <c r="D12" s="36" t="s">
        <v>81</v>
      </c>
      <c r="E12" s="43">
        <v>40</v>
      </c>
      <c r="F12" s="43">
        <v>30</v>
      </c>
      <c r="G12" s="36" t="s">
        <v>80</v>
      </c>
    </row>
    <row r="13" spans="4:7" x14ac:dyDescent="0.25">
      <c r="D13" s="36" t="s">
        <v>82</v>
      </c>
      <c r="E13" s="43">
        <v>20</v>
      </c>
      <c r="F13" s="43">
        <v>20</v>
      </c>
      <c r="G13" s="36" t="s">
        <v>80</v>
      </c>
    </row>
    <row r="14" spans="4:7" x14ac:dyDescent="0.25">
      <c r="D14" s="36" t="s">
        <v>83</v>
      </c>
      <c r="E14" s="43">
        <v>200</v>
      </c>
      <c r="F14" s="43">
        <v>350</v>
      </c>
      <c r="G14" s="36" t="s">
        <v>77</v>
      </c>
    </row>
    <row r="15" spans="4:7" x14ac:dyDescent="0.25">
      <c r="D15" s="36" t="s">
        <v>84</v>
      </c>
      <c r="E15" s="46">
        <v>7.0000000000000007E-2</v>
      </c>
      <c r="F15" s="46"/>
      <c r="G15" s="46"/>
    </row>
    <row r="16" spans="4:7" x14ac:dyDescent="0.25">
      <c r="D16" s="44"/>
      <c r="E16" s="44"/>
      <c r="F16" s="44"/>
      <c r="G16" s="44"/>
    </row>
    <row r="17" spans="4:7" x14ac:dyDescent="0.25">
      <c r="D17" s="36" t="s">
        <v>85</v>
      </c>
      <c r="E17" s="43">
        <v>100</v>
      </c>
      <c r="F17" s="43">
        <v>300</v>
      </c>
      <c r="G17" s="36" t="s">
        <v>80</v>
      </c>
    </row>
    <row r="18" spans="4:7" x14ac:dyDescent="0.25">
      <c r="D18" s="36" t="s">
        <v>86</v>
      </c>
      <c r="E18" s="43">
        <v>80</v>
      </c>
      <c r="F18" s="43">
        <v>200</v>
      </c>
      <c r="G18" s="36" t="s">
        <v>80</v>
      </c>
    </row>
    <row r="19" spans="4:7" x14ac:dyDescent="0.25">
      <c r="D19" s="36" t="s">
        <v>87</v>
      </c>
      <c r="E19" s="43">
        <v>60</v>
      </c>
      <c r="F19" s="43">
        <v>100</v>
      </c>
      <c r="G19" s="36" t="s">
        <v>80</v>
      </c>
    </row>
    <row r="20" spans="4:7" x14ac:dyDescent="0.25">
      <c r="D20" s="36" t="s">
        <v>88</v>
      </c>
      <c r="E20" s="43">
        <v>500</v>
      </c>
      <c r="F20" s="43">
        <v>800</v>
      </c>
      <c r="G20" s="36" t="s">
        <v>77</v>
      </c>
    </row>
    <row r="21" spans="4:7" x14ac:dyDescent="0.25">
      <c r="D21" s="36" t="s">
        <v>89</v>
      </c>
      <c r="E21" s="46">
        <v>7.0000000000000007E-2</v>
      </c>
      <c r="F21" s="46"/>
      <c r="G21" s="46"/>
    </row>
    <row r="22" spans="4:7" x14ac:dyDescent="0.25">
      <c r="D22" s="48"/>
      <c r="E22" s="48"/>
      <c r="F22" s="48"/>
      <c r="G22" s="48"/>
    </row>
    <row r="23" spans="4:7" ht="18" x14ac:dyDescent="0.35">
      <c r="D23" s="45" t="s">
        <v>90</v>
      </c>
      <c r="E23" s="45"/>
      <c r="F23" s="45"/>
      <c r="G23" s="45"/>
    </row>
    <row r="24" spans="4:7" ht="18" x14ac:dyDescent="0.35">
      <c r="D24" s="39" t="s">
        <v>92</v>
      </c>
      <c r="E24" s="47">
        <f>vypocet!P30</f>
        <v>0.37372971263395754</v>
      </c>
      <c r="F24" s="47"/>
      <c r="G24" s="47"/>
    </row>
    <row r="25" spans="4:7" x14ac:dyDescent="0.25">
      <c r="D25" s="39" t="s">
        <v>91</v>
      </c>
      <c r="E25" s="47">
        <f>vypocet!Q30</f>
        <v>3.4335959017679725E-2</v>
      </c>
      <c r="F25" s="47"/>
      <c r="G25" s="47"/>
    </row>
    <row r="26" spans="4:7" s="40" customFormat="1" x14ac:dyDescent="0.25"/>
    <row r="27" spans="4:7" s="40" customFormat="1" x14ac:dyDescent="0.25"/>
    <row r="28" spans="4:7" s="40" customFormat="1" x14ac:dyDescent="0.25"/>
    <row r="29" spans="4:7" s="40" customFormat="1" x14ac:dyDescent="0.25"/>
    <row r="30" spans="4:7" s="40" customFormat="1" x14ac:dyDescent="0.25"/>
    <row r="31" spans="4:7" s="40" customFormat="1" x14ac:dyDescent="0.25"/>
    <row r="32" spans="4:7" s="40" customFormat="1" x14ac:dyDescent="0.25"/>
    <row r="33" s="40" customFormat="1" x14ac:dyDescent="0.25"/>
    <row r="34" s="40" customFormat="1" x14ac:dyDescent="0.25"/>
    <row r="35" s="40" customFormat="1" x14ac:dyDescent="0.25"/>
    <row r="36" s="40" customFormat="1" x14ac:dyDescent="0.25"/>
    <row r="37" s="40" customFormat="1" x14ac:dyDescent="0.25"/>
    <row r="38" s="40" customFormat="1" x14ac:dyDescent="0.25"/>
    <row r="39" s="40" customFormat="1" x14ac:dyDescent="0.25"/>
    <row r="40" s="40" customFormat="1" x14ac:dyDescent="0.25"/>
    <row r="41" s="40" customFormat="1" x14ac:dyDescent="0.25"/>
    <row r="42" s="40" customFormat="1" x14ac:dyDescent="0.25"/>
    <row r="43" s="40" customFormat="1" x14ac:dyDescent="0.25"/>
    <row r="44" s="40" customFormat="1" x14ac:dyDescent="0.25"/>
    <row r="45" s="40" customFormat="1" x14ac:dyDescent="0.25"/>
    <row r="46" s="40" customFormat="1" x14ac:dyDescent="0.25"/>
    <row r="47" s="40" customFormat="1" x14ac:dyDescent="0.25"/>
    <row r="48" s="40" customFormat="1" x14ac:dyDescent="0.25"/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  <row r="57" s="40" customFormat="1" x14ac:dyDescent="0.25"/>
    <row r="58" s="40" customFormat="1" x14ac:dyDescent="0.25"/>
    <row r="59" s="40" customFormat="1" x14ac:dyDescent="0.25"/>
    <row r="60" s="40" customFormat="1" x14ac:dyDescent="0.25"/>
    <row r="61" s="40" customFormat="1" x14ac:dyDescent="0.25"/>
    <row r="62" s="40" customFormat="1" x14ac:dyDescent="0.25"/>
    <row r="63" s="40" customFormat="1" x14ac:dyDescent="0.25"/>
    <row r="64" s="40" customFormat="1" x14ac:dyDescent="0.25"/>
    <row r="65" s="40" customFormat="1" x14ac:dyDescent="0.25"/>
    <row r="66" s="40" customFormat="1" x14ac:dyDescent="0.25"/>
    <row r="67" s="40" customFormat="1" x14ac:dyDescent="0.25"/>
    <row r="68" s="40" customFormat="1" x14ac:dyDescent="0.25"/>
    <row r="69" s="40" customFormat="1" x14ac:dyDescent="0.25"/>
    <row r="70" s="40" customFormat="1" x14ac:dyDescent="0.25"/>
    <row r="71" s="40" customFormat="1" x14ac:dyDescent="0.25"/>
    <row r="72" s="40" customFormat="1" x14ac:dyDescent="0.25"/>
    <row r="73" s="40" customFormat="1" x14ac:dyDescent="0.25"/>
    <row r="74" s="40" customFormat="1" x14ac:dyDescent="0.25"/>
    <row r="75" s="40" customFormat="1" x14ac:dyDescent="0.25"/>
    <row r="76" s="40" customFormat="1" x14ac:dyDescent="0.25"/>
    <row r="77" s="40" customFormat="1" x14ac:dyDescent="0.25"/>
    <row r="78" s="40" customFormat="1" x14ac:dyDescent="0.25"/>
    <row r="79" s="40" customFormat="1" x14ac:dyDescent="0.25"/>
    <row r="80" s="40" customFormat="1" x14ac:dyDescent="0.25"/>
    <row r="81" s="40" customFormat="1" x14ac:dyDescent="0.25"/>
    <row r="82" s="40" customFormat="1" x14ac:dyDescent="0.25"/>
    <row r="83" s="40" customFormat="1" x14ac:dyDescent="0.25"/>
    <row r="84" s="40" customFormat="1" x14ac:dyDescent="0.25"/>
    <row r="85" s="40" customFormat="1" x14ac:dyDescent="0.25"/>
    <row r="86" s="40" customFormat="1" x14ac:dyDescent="0.25"/>
    <row r="87" s="40" customFormat="1" x14ac:dyDescent="0.25"/>
    <row r="88" s="40" customFormat="1" x14ac:dyDescent="0.25"/>
    <row r="89" s="40" customFormat="1" x14ac:dyDescent="0.25"/>
    <row r="90" s="40" customFormat="1" x14ac:dyDescent="0.25"/>
    <row r="91" s="40" customFormat="1" x14ac:dyDescent="0.25"/>
    <row r="92" s="40" customFormat="1" x14ac:dyDescent="0.25"/>
    <row r="93" s="40" customFormat="1" x14ac:dyDescent="0.25"/>
    <row r="94" s="40" customFormat="1" x14ac:dyDescent="0.25"/>
    <row r="95" s="40" customFormat="1" x14ac:dyDescent="0.25"/>
    <row r="96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  <row r="180" s="40" customFormat="1" x14ac:dyDescent="0.25"/>
    <row r="181" s="40" customFormat="1" x14ac:dyDescent="0.25"/>
    <row r="182" s="40" customFormat="1" x14ac:dyDescent="0.25"/>
    <row r="183" s="40" customFormat="1" x14ac:dyDescent="0.25"/>
    <row r="184" s="40" customFormat="1" x14ac:dyDescent="0.25"/>
    <row r="185" s="40" customFormat="1" x14ac:dyDescent="0.25"/>
    <row r="186" s="40" customFormat="1" x14ac:dyDescent="0.25"/>
    <row r="187" s="40" customFormat="1" x14ac:dyDescent="0.25"/>
    <row r="188" s="40" customFormat="1" x14ac:dyDescent="0.25"/>
  </sheetData>
  <sheetProtection algorithmName="SHA-512" hashValue="8JgtRm4CDiZx6JJM01JebNkZQ+94AEtdvsM0wYDOUNpKXSxDuVGyllN6II9HG5A8hyFJO44mh17cRN0tsL/qIA==" saltValue="u+0GkDa1CikJnnR4GJvmyQ==" spinCount="100000" sheet="1" objects="1" scenarios="1" selectLockedCells="1"/>
  <mergeCells count="11">
    <mergeCell ref="E21:G21"/>
    <mergeCell ref="D23:G23"/>
    <mergeCell ref="E24:G24"/>
    <mergeCell ref="E25:G25"/>
    <mergeCell ref="D22:G22"/>
    <mergeCell ref="D16:G16"/>
    <mergeCell ref="D4:G4"/>
    <mergeCell ref="F5:G5"/>
    <mergeCell ref="D6:G6"/>
    <mergeCell ref="D10:G10"/>
    <mergeCell ref="E15:G15"/>
  </mergeCells>
  <phoneticPr fontId="1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List2"/>
  <dimension ref="B1:AG41"/>
  <sheetViews>
    <sheetView workbookViewId="0">
      <selection activeCell="C14" sqref="C14"/>
    </sheetView>
  </sheetViews>
  <sheetFormatPr defaultRowHeight="15" x14ac:dyDescent="0.25"/>
  <cols>
    <col min="1" max="2" width="9.140625" style="1"/>
    <col min="3" max="3" width="16.28515625" style="1" bestFit="1" customWidth="1"/>
    <col min="4" max="8" width="9.140625" style="1"/>
    <col min="9" max="9" width="16.28515625" style="1" bestFit="1" customWidth="1"/>
    <col min="10" max="14" width="9.140625" style="1"/>
    <col min="15" max="15" width="16.28515625" style="1" bestFit="1" customWidth="1"/>
    <col min="16" max="16" width="11.85546875" style="1" bestFit="1" customWidth="1"/>
    <col min="17" max="18" width="16.28515625" style="1" bestFit="1" customWidth="1"/>
    <col min="19" max="21" width="9.140625" style="1"/>
    <col min="22" max="22" width="16.28515625" style="1" bestFit="1" customWidth="1"/>
    <col min="23" max="23" width="11.85546875" style="1" bestFit="1" customWidth="1"/>
    <col min="24" max="24" width="9.140625" style="1"/>
    <col min="25" max="25" width="12.140625" style="1" bestFit="1" customWidth="1"/>
    <col min="26" max="27" width="9.28515625" style="1" bestFit="1" customWidth="1"/>
    <col min="28" max="28" width="9.140625" style="1"/>
    <col min="29" max="29" width="9.28515625" style="1" bestFit="1" customWidth="1"/>
    <col min="30" max="16384" width="9.140625" style="1"/>
  </cols>
  <sheetData>
    <row r="1" spans="3:33" ht="15.75" x14ac:dyDescent="0.3">
      <c r="F1" s="2" t="s">
        <v>10</v>
      </c>
      <c r="G1" s="1" t="s">
        <v>12</v>
      </c>
      <c r="V1" s="3" t="s">
        <v>69</v>
      </c>
    </row>
    <row r="2" spans="3:33" x14ac:dyDescent="0.25">
      <c r="C2" s="1" t="s">
        <v>0</v>
      </c>
      <c r="F2" s="1" t="s">
        <v>1</v>
      </c>
      <c r="G2" s="1" t="s">
        <v>2</v>
      </c>
      <c r="J2" s="2" t="s">
        <v>5</v>
      </c>
      <c r="L2" s="4">
        <f>SUM(L3:L5)</f>
        <v>140</v>
      </c>
      <c r="N2" s="4">
        <f>SUM(N3:N5)</f>
        <v>90</v>
      </c>
      <c r="P2" s="2" t="s">
        <v>6</v>
      </c>
      <c r="R2" s="4">
        <f>SUM(R3:R5)</f>
        <v>240</v>
      </c>
      <c r="T2" s="4">
        <f>SUM(T3:T5)</f>
        <v>600</v>
      </c>
      <c r="V2" s="1" t="s">
        <v>47</v>
      </c>
      <c r="W2" s="5">
        <f>L6/N6</f>
        <v>0.5714285714285714</v>
      </c>
      <c r="X2" s="1" t="s">
        <v>49</v>
      </c>
      <c r="Y2" s="6">
        <f>W2/(SQRT(L6))</f>
        <v>4.0406101782088429E-2</v>
      </c>
      <c r="Z2" s="6">
        <f>W2/(SQRT(N6))</f>
        <v>3.0544141932848497E-2</v>
      </c>
      <c r="AA2" s="7">
        <f>SQRT(Y2*Y2+Z2*Z2)</f>
        <v>5.0651729167309617E-2</v>
      </c>
      <c r="AB2" s="2"/>
      <c r="AC2" s="8" t="s">
        <v>52</v>
      </c>
      <c r="AD2" s="9">
        <f>AA2/W2</f>
        <v>8.8640526042791837E-2</v>
      </c>
    </row>
    <row r="3" spans="3:33" x14ac:dyDescent="0.25">
      <c r="C3" s="1">
        <f>data!E5</f>
        <v>22</v>
      </c>
      <c r="E3" s="1" t="s">
        <v>5</v>
      </c>
      <c r="F3" s="1">
        <f>data!E8</f>
        <v>1</v>
      </c>
      <c r="G3" s="1">
        <f>data!F8</f>
        <v>1</v>
      </c>
      <c r="I3" s="1" t="s">
        <v>43</v>
      </c>
      <c r="J3" s="1" t="s">
        <v>3</v>
      </c>
      <c r="K3" s="1" t="s">
        <v>1</v>
      </c>
      <c r="L3" s="1">
        <f>data!E11</f>
        <v>80</v>
      </c>
      <c r="M3" s="1" t="s">
        <v>2</v>
      </c>
      <c r="N3" s="1">
        <f>data!F11</f>
        <v>40</v>
      </c>
      <c r="P3" s="1" t="s">
        <v>3</v>
      </c>
      <c r="Q3" s="1" t="s">
        <v>1</v>
      </c>
      <c r="R3" s="1">
        <f>data!E17</f>
        <v>100</v>
      </c>
      <c r="S3" s="1" t="s">
        <v>2</v>
      </c>
      <c r="T3" s="1">
        <f>data!F17</f>
        <v>300</v>
      </c>
      <c r="V3" s="1" t="s">
        <v>48</v>
      </c>
      <c r="W3" s="5">
        <f>R6/T6</f>
        <v>0.625</v>
      </c>
      <c r="X3" s="1" t="s">
        <v>50</v>
      </c>
      <c r="Y3" s="6">
        <f>W3/(SQRT(R6))</f>
        <v>2.795084971874737E-2</v>
      </c>
      <c r="Z3" s="6">
        <f>W3/(SQRT(T6))</f>
        <v>2.2097086912079608E-2</v>
      </c>
      <c r="AA3" s="7">
        <f>SQRT(Y3*Y3+Z3*Z3)</f>
        <v>3.5630482034348057E-2</v>
      </c>
      <c r="AB3" s="2"/>
      <c r="AC3" s="8" t="s">
        <v>52</v>
      </c>
      <c r="AD3" s="9">
        <f>AA3/W3</f>
        <v>5.7008771254956889E-2</v>
      </c>
    </row>
    <row r="4" spans="3:33" x14ac:dyDescent="0.25">
      <c r="C4" s="2" t="s">
        <v>11</v>
      </c>
      <c r="I4" s="1" t="s">
        <v>44</v>
      </c>
      <c r="J4" s="1" t="s">
        <v>13</v>
      </c>
      <c r="K4" s="1" t="s">
        <v>1</v>
      </c>
      <c r="L4" s="1">
        <f>data!E12</f>
        <v>40</v>
      </c>
      <c r="M4" s="1" t="s">
        <v>2</v>
      </c>
      <c r="N4" s="1">
        <f>data!F12</f>
        <v>30</v>
      </c>
      <c r="P4" s="1" t="s">
        <v>13</v>
      </c>
      <c r="Q4" s="1" t="s">
        <v>1</v>
      </c>
      <c r="R4" s="1">
        <f>data!E18</f>
        <v>80</v>
      </c>
      <c r="S4" s="1" t="s">
        <v>2</v>
      </c>
      <c r="T4" s="1">
        <f>data!F18</f>
        <v>200</v>
      </c>
      <c r="V4" s="1" t="s">
        <v>60</v>
      </c>
      <c r="W4" s="10">
        <f>(L2-W2*N2)*1.21/0.72</f>
        <v>148.84920634920636</v>
      </c>
      <c r="X4" s="1" t="s">
        <v>62</v>
      </c>
      <c r="Y4" s="11">
        <f>(L2+N2*N2*AA2*AA2+W2*W2*N2)*1.452</f>
        <v>276.12552769679297</v>
      </c>
      <c r="Z4" s="12">
        <f>SQRT(Y4)</f>
        <v>16.617025236088228</v>
      </c>
      <c r="AA4" s="8" t="s">
        <v>51</v>
      </c>
      <c r="AB4" s="9">
        <f>Z4/W4</f>
        <v>0.11163663981589532</v>
      </c>
    </row>
    <row r="5" spans="3:33" x14ac:dyDescent="0.25">
      <c r="C5" s="2" t="s">
        <v>18</v>
      </c>
      <c r="E5" s="1" t="s">
        <v>6</v>
      </c>
      <c r="F5" s="1">
        <f>data!E9</f>
        <v>1</v>
      </c>
      <c r="G5" s="1">
        <f>data!F9</f>
        <v>1</v>
      </c>
      <c r="I5" s="1" t="s">
        <v>44</v>
      </c>
      <c r="J5" s="1" t="s">
        <v>14</v>
      </c>
      <c r="K5" s="1" t="s">
        <v>1</v>
      </c>
      <c r="L5" s="1">
        <f>data!E13</f>
        <v>20</v>
      </c>
      <c r="M5" s="1" t="s">
        <v>2</v>
      </c>
      <c r="N5" s="1">
        <f>data!F13</f>
        <v>20</v>
      </c>
      <c r="P5" s="1" t="s">
        <v>14</v>
      </c>
      <c r="Q5" s="1" t="s">
        <v>1</v>
      </c>
      <c r="R5" s="1">
        <f>data!E19</f>
        <v>60</v>
      </c>
      <c r="S5" s="1" t="s">
        <v>2</v>
      </c>
      <c r="T5" s="1">
        <f>data!F19</f>
        <v>100</v>
      </c>
      <c r="V5" s="1" t="s">
        <v>61</v>
      </c>
      <c r="W5" s="10">
        <f>(R2-W3*T2)*1.21</f>
        <v>-163.35</v>
      </c>
      <c r="X5" s="1" t="s">
        <v>63</v>
      </c>
      <c r="Y5" s="11">
        <f>(R2+T2*T2*AA3*AA3+W3*W3*T2)*1.452</f>
        <v>1352.4018749999998</v>
      </c>
      <c r="Z5" s="12">
        <f>SQRT(Y5)</f>
        <v>36.775016995237401</v>
      </c>
      <c r="AA5" s="8" t="s">
        <v>52</v>
      </c>
      <c r="AB5" s="9">
        <f>Z5/W5</f>
        <v>-0.22513019280830979</v>
      </c>
    </row>
    <row r="6" spans="3:33" x14ac:dyDescent="0.25">
      <c r="I6" s="1" t="s">
        <v>15</v>
      </c>
      <c r="J6" s="1" t="s">
        <v>4</v>
      </c>
      <c r="K6" s="1" t="s">
        <v>1</v>
      </c>
      <c r="L6" s="13">
        <f>data!E14</f>
        <v>200</v>
      </c>
      <c r="M6" s="1" t="s">
        <v>2</v>
      </c>
      <c r="N6" s="1">
        <f>data!F14</f>
        <v>350</v>
      </c>
      <c r="P6" s="1" t="s">
        <v>4</v>
      </c>
      <c r="Q6" s="1" t="s">
        <v>1</v>
      </c>
      <c r="R6" s="13">
        <f>data!E20</f>
        <v>500</v>
      </c>
      <c r="S6" s="1" t="s">
        <v>2</v>
      </c>
      <c r="T6" s="1">
        <f>data!F20</f>
        <v>800</v>
      </c>
    </row>
    <row r="7" spans="3:33" x14ac:dyDescent="0.25">
      <c r="L7" s="13"/>
      <c r="R7" s="13"/>
      <c r="V7" s="1" t="s">
        <v>64</v>
      </c>
      <c r="W7" s="10">
        <f>(L6+N6-2.115*W4/1.68)/28.4</f>
        <v>12.767939482130881</v>
      </c>
      <c r="X7" s="14" t="s">
        <v>59</v>
      </c>
      <c r="Y7" s="12">
        <f>SQRT(L6+N6+1.586*AA2*AA2)/28.4</f>
        <v>0.82578047715268421</v>
      </c>
      <c r="Z7" s="8" t="s">
        <v>52</v>
      </c>
      <c r="AA7" s="15">
        <f>Y7/W7</f>
        <v>6.4676095802959369E-2</v>
      </c>
      <c r="AB7" s="14"/>
      <c r="AC7" s="14"/>
      <c r="AD7" s="14"/>
      <c r="AE7" s="14"/>
      <c r="AF7" s="14"/>
      <c r="AG7" s="14"/>
    </row>
    <row r="8" spans="3:33" x14ac:dyDescent="0.25">
      <c r="K8" s="1" t="s">
        <v>5</v>
      </c>
      <c r="L8" s="13"/>
      <c r="Q8" s="1" t="s">
        <v>6</v>
      </c>
      <c r="V8" s="1" t="s">
        <v>65</v>
      </c>
      <c r="W8" s="10">
        <f>(R6+T6-2.115*W5/1.21)/28.4</f>
        <v>55.828345070422543</v>
      </c>
      <c r="X8" s="14" t="s">
        <v>53</v>
      </c>
      <c r="Y8" s="12">
        <f>SQRT(R6+T6+3.055*AA3*AA3)/28.4</f>
        <v>1.2695622020626758</v>
      </c>
      <c r="Z8" s="8" t="s">
        <v>52</v>
      </c>
      <c r="AA8" s="15">
        <f>Y8/W8</f>
        <v>2.2740459178240639E-2</v>
      </c>
      <c r="AB8" s="14"/>
      <c r="AC8" s="14"/>
      <c r="AD8" s="14"/>
      <c r="AE8" s="14"/>
      <c r="AF8" s="14"/>
      <c r="AG8" s="14"/>
    </row>
    <row r="9" spans="3:33" x14ac:dyDescent="0.25">
      <c r="C9" s="1" t="s">
        <v>9</v>
      </c>
      <c r="K9" s="1" t="s">
        <v>7</v>
      </c>
      <c r="L9" s="1">
        <f>data!E15</f>
        <v>7.0000000000000007E-2</v>
      </c>
      <c r="Q9" s="1" t="s">
        <v>7</v>
      </c>
      <c r="R9" s="1">
        <f>data!E21</f>
        <v>7.0000000000000007E-2</v>
      </c>
      <c r="W9" s="10"/>
      <c r="X9" s="14"/>
      <c r="Y9" s="16"/>
      <c r="Z9" s="8"/>
      <c r="AA9" s="15"/>
      <c r="AB9" s="14"/>
      <c r="AC9" s="14"/>
      <c r="AD9" s="14"/>
      <c r="AE9" s="14"/>
      <c r="AF9" s="14"/>
      <c r="AG9" s="14"/>
    </row>
    <row r="10" spans="3:33" x14ac:dyDescent="0.25">
      <c r="C10" s="13" t="s">
        <v>93</v>
      </c>
      <c r="V10" s="1" t="s">
        <v>54</v>
      </c>
      <c r="W10" s="10">
        <f>W4*0.105+W7</f>
        <v>28.397106148797548</v>
      </c>
      <c r="X10" s="14" t="s">
        <v>53</v>
      </c>
      <c r="Y10" s="12">
        <f>SQRT(0.05*0.105*Z4*Z4+Y7*Y7)</f>
        <v>1.4599905536867963</v>
      </c>
      <c r="Z10" s="8" t="s">
        <v>52</v>
      </c>
      <c r="AA10" s="15">
        <f>Y10/W10</f>
        <v>5.141335691167314E-2</v>
      </c>
      <c r="AB10" s="14"/>
      <c r="AC10" s="14"/>
      <c r="AD10" s="14"/>
      <c r="AE10" s="14"/>
      <c r="AF10" s="14"/>
      <c r="AG10" s="14"/>
    </row>
    <row r="11" spans="3:33" x14ac:dyDescent="0.25">
      <c r="C11" s="1">
        <v>0.72</v>
      </c>
      <c r="E11" s="4"/>
      <c r="J11" s="2" t="s">
        <v>8</v>
      </c>
      <c r="L11" s="2" t="s">
        <v>45</v>
      </c>
      <c r="P11" s="2" t="s">
        <v>8</v>
      </c>
      <c r="R11" s="2" t="s">
        <v>45</v>
      </c>
      <c r="V11" s="1" t="s">
        <v>55</v>
      </c>
      <c r="W11" s="10">
        <f>W5*0.105+W8</f>
        <v>38.676595070422543</v>
      </c>
      <c r="X11" s="14" t="s">
        <v>59</v>
      </c>
      <c r="Y11" s="12">
        <f>SQRT(0.105*0.105*Z5*Z5+Y8*Y8)</f>
        <v>4.064728632612665</v>
      </c>
      <c r="Z11" s="8" t="s">
        <v>52</v>
      </c>
      <c r="AA11" s="15">
        <f>Y11/W11</f>
        <v>0.10509530699927401</v>
      </c>
      <c r="AB11" s="14"/>
      <c r="AC11" s="14"/>
      <c r="AD11" s="14"/>
      <c r="AE11" s="14"/>
      <c r="AF11" s="14"/>
      <c r="AG11" s="14"/>
    </row>
    <row r="12" spans="3:33" x14ac:dyDescent="0.25">
      <c r="C12" s="17" t="s">
        <v>94</v>
      </c>
      <c r="E12" s="4"/>
      <c r="J12" s="2" t="s">
        <v>40</v>
      </c>
      <c r="K12" s="2" t="s">
        <v>5</v>
      </c>
      <c r="L12" s="2" t="s">
        <v>40</v>
      </c>
      <c r="P12" s="2" t="s">
        <v>39</v>
      </c>
      <c r="Q12" s="2" t="s">
        <v>6</v>
      </c>
      <c r="R12" s="2" t="s">
        <v>39</v>
      </c>
      <c r="X12" s="14"/>
      <c r="Y12" s="14"/>
      <c r="Z12" s="14"/>
      <c r="AA12" s="14"/>
      <c r="AB12" s="14"/>
      <c r="AC12" s="10"/>
      <c r="AD12" s="14"/>
      <c r="AE12" s="14"/>
      <c r="AF12" s="14"/>
      <c r="AG12" s="14"/>
    </row>
    <row r="13" spans="3:33" ht="15.75" x14ac:dyDescent="0.25">
      <c r="C13" s="1">
        <v>1</v>
      </c>
      <c r="E13" s="4"/>
      <c r="V13" s="1" t="s">
        <v>68</v>
      </c>
      <c r="W13" s="18">
        <f>W10/(W10+W11)</f>
        <v>0.42337168864419711</v>
      </c>
      <c r="X13" s="19" t="s">
        <v>53</v>
      </c>
      <c r="Y13" s="20">
        <f>SQRT(W11*W11*Y10*Y10+W10*W10*Y11*Y11)/((W10+W11)*(W10+W11))</f>
        <v>2.8562316898136684E-2</v>
      </c>
      <c r="Z13" s="14" t="s">
        <v>66</v>
      </c>
      <c r="AA13" s="21">
        <f>Y13/W13</f>
        <v>6.7463927476124994E-2</v>
      </c>
      <c r="AB13" s="14"/>
      <c r="AC13" s="10"/>
      <c r="AD13" s="14"/>
      <c r="AE13" s="14"/>
      <c r="AF13" s="14"/>
      <c r="AG13" s="14"/>
    </row>
    <row r="14" spans="3:33" x14ac:dyDescent="0.25">
      <c r="E14" s="4"/>
      <c r="I14" s="1" t="s">
        <v>46</v>
      </c>
      <c r="J14" s="1">
        <f>(L6-F3)/(N6-G3)</f>
        <v>0.57020057306590255</v>
      </c>
      <c r="O14" s="22"/>
      <c r="P14" s="1" t="s">
        <v>46</v>
      </c>
      <c r="Q14" s="1">
        <f>(R6-F5)/(T6-G5)</f>
        <v>0.62453066332916141</v>
      </c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3:33" x14ac:dyDescent="0.25">
      <c r="C15" s="1" t="s">
        <v>95</v>
      </c>
      <c r="E15" s="4"/>
      <c r="L15" s="1" t="s">
        <v>19</v>
      </c>
      <c r="R15" s="1" t="s">
        <v>19</v>
      </c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3:33" x14ac:dyDescent="0.25">
      <c r="C16" s="1">
        <v>28.4</v>
      </c>
      <c r="E16" s="4"/>
      <c r="J16" s="1" t="s">
        <v>16</v>
      </c>
      <c r="L16" s="13">
        <f>(L6+N6-F3-G3)</f>
        <v>548</v>
      </c>
      <c r="M16" s="1" t="s">
        <v>32</v>
      </c>
      <c r="P16" s="1" t="s">
        <v>16</v>
      </c>
      <c r="R16" s="13">
        <f>(R6+T6-F5-G5)</f>
        <v>1298</v>
      </c>
      <c r="S16" s="1" t="s">
        <v>32</v>
      </c>
    </row>
    <row r="17" spans="2:26" ht="18.75" x14ac:dyDescent="0.3">
      <c r="B17" s="19"/>
      <c r="C17" s="23"/>
      <c r="E17" s="4"/>
      <c r="I17" s="1" t="s">
        <v>36</v>
      </c>
      <c r="J17" s="13">
        <f>(L3+L4+L5-0.3*F3)-(N3+N4+N5-0.3*G3)*J14</f>
        <v>88.55300859598853</v>
      </c>
      <c r="L17" s="24">
        <f>L16-2.115*J17</f>
        <v>360.71038681948426</v>
      </c>
      <c r="M17" s="1" t="s">
        <v>29</v>
      </c>
      <c r="O17" s="1" t="s">
        <v>36</v>
      </c>
      <c r="P17" s="25">
        <f>(R3+R4+R5-0.3*F5)-(T5+T4+T3-0.3*G5)*Q14</f>
        <v>-134.83103879849813</v>
      </c>
      <c r="R17" s="24">
        <f>R16-2.115*P17</f>
        <v>1583.1676470588236</v>
      </c>
      <c r="S17" s="1" t="s">
        <v>29</v>
      </c>
    </row>
    <row r="18" spans="2:26" x14ac:dyDescent="0.25">
      <c r="C18" s="1" t="s">
        <v>22</v>
      </c>
      <c r="E18" s="4"/>
      <c r="L18" s="24">
        <f>L17/(C11*C3*L9)</f>
        <v>325.31600542882779</v>
      </c>
      <c r="M18" s="1" t="s">
        <v>28</v>
      </c>
      <c r="O18" s="1" t="s">
        <v>38</v>
      </c>
      <c r="P18" s="26">
        <f>P17*C19/(C3*R9)</f>
        <v>-105.93867334167709</v>
      </c>
      <c r="R18" s="24"/>
      <c r="V18" s="27" t="s">
        <v>67</v>
      </c>
    </row>
    <row r="19" spans="2:26" x14ac:dyDescent="0.25">
      <c r="C19" s="1">
        <v>1.21</v>
      </c>
      <c r="E19" s="4"/>
      <c r="L19" s="24"/>
      <c r="O19" s="1" t="s">
        <v>17</v>
      </c>
      <c r="P19" s="24"/>
      <c r="R19" s="28"/>
      <c r="S19" s="4"/>
      <c r="T19" s="4"/>
      <c r="U19" s="4"/>
      <c r="V19" s="4" t="s">
        <v>56</v>
      </c>
      <c r="W19" s="4">
        <f>1867*1.21/(1.4*0.72)</f>
        <v>2241.1408730158728</v>
      </c>
      <c r="X19" s="4" t="s">
        <v>57</v>
      </c>
      <c r="Y19" s="4">
        <f>W7/(28.4*0.72*1.4)</f>
        <v>0.44600727567246828</v>
      </c>
      <c r="Z19" s="4">
        <f>Y19+0.1*W19</f>
        <v>224.56009457725975</v>
      </c>
    </row>
    <row r="20" spans="2:26" x14ac:dyDescent="0.25">
      <c r="E20" s="4"/>
      <c r="I20" s="1" t="s">
        <v>37</v>
      </c>
      <c r="J20" s="13">
        <f>J17*C19/(C3*L9)</f>
        <v>69.577363896848127</v>
      </c>
      <c r="L20" s="24"/>
      <c r="P20" s="24"/>
      <c r="R20" s="28">
        <f>R17/(C3*R9)</f>
        <v>1028.0309396485868</v>
      </c>
      <c r="S20" s="4" t="s">
        <v>30</v>
      </c>
      <c r="T20" s="4"/>
      <c r="U20" s="4"/>
      <c r="V20" s="4"/>
      <c r="W20" s="4">
        <f>4223*1.21/1.4</f>
        <v>3649.8785714285718</v>
      </c>
      <c r="X20" s="4" t="s">
        <v>58</v>
      </c>
      <c r="Y20" s="4">
        <f>W8/(0.068*20*28.4)</f>
        <v>1.4454314693046433</v>
      </c>
      <c r="Z20" s="4">
        <f>Y20+0.1*W20</f>
        <v>366.43328861216185</v>
      </c>
    </row>
    <row r="21" spans="2:26" x14ac:dyDescent="0.25">
      <c r="E21" s="4"/>
      <c r="L21" s="24"/>
      <c r="O21" s="1" t="s">
        <v>31</v>
      </c>
      <c r="P21" s="26">
        <f>P18-J25*(1-C13)</f>
        <v>-105.93867334167709</v>
      </c>
      <c r="R21" s="28"/>
      <c r="S21" s="4"/>
      <c r="T21" s="4"/>
      <c r="U21" s="4"/>
      <c r="V21" s="4"/>
      <c r="W21" s="4"/>
      <c r="X21" s="4"/>
      <c r="Y21" s="4"/>
      <c r="Z21" s="4"/>
    </row>
    <row r="22" spans="2:26" x14ac:dyDescent="0.25">
      <c r="E22" s="4"/>
      <c r="L22" s="24"/>
      <c r="P22" s="24"/>
      <c r="R22" s="28">
        <f>R20/(C16*C25)</f>
        <v>36.198272522837563</v>
      </c>
      <c r="S22" s="4" t="s">
        <v>41</v>
      </c>
      <c r="T22" s="4"/>
      <c r="U22" s="4"/>
      <c r="V22" s="4"/>
      <c r="W22" s="4"/>
      <c r="X22" s="4"/>
      <c r="Y22" s="4"/>
      <c r="Z22" s="4"/>
    </row>
    <row r="23" spans="2:26" x14ac:dyDescent="0.25">
      <c r="E23" s="4"/>
      <c r="L23" s="26">
        <f>L18/C16</f>
        <v>11.454788923550275</v>
      </c>
      <c r="M23" s="13" t="s">
        <v>41</v>
      </c>
      <c r="O23" s="13"/>
      <c r="P23" s="24"/>
      <c r="R23" s="28">
        <f>R22-(1-C13)*L23</f>
        <v>36.198272522837563</v>
      </c>
      <c r="S23" s="4" t="s">
        <v>35</v>
      </c>
      <c r="T23" s="4"/>
      <c r="U23" s="4"/>
      <c r="V23" s="4"/>
      <c r="W23" s="4"/>
      <c r="X23" s="4"/>
      <c r="Y23" s="4"/>
      <c r="Z23" s="4"/>
    </row>
    <row r="24" spans="2:26" x14ac:dyDescent="0.25">
      <c r="C24" s="1" t="s">
        <v>27</v>
      </c>
      <c r="J24" s="2"/>
      <c r="L24" s="24">
        <f>0.105*J25</f>
        <v>10.146698901623685</v>
      </c>
      <c r="M24" s="1" t="s">
        <v>33</v>
      </c>
      <c r="P24" s="24"/>
      <c r="R24" s="28"/>
      <c r="S24" s="4"/>
      <c r="T24" s="4"/>
      <c r="U24" s="4"/>
      <c r="V24" s="4"/>
      <c r="W24" s="4"/>
      <c r="X24" s="4"/>
      <c r="Y24" s="4"/>
      <c r="Z24" s="4"/>
    </row>
    <row r="25" spans="2:26" ht="18.75" x14ac:dyDescent="0.3">
      <c r="C25" s="1">
        <v>1</v>
      </c>
      <c r="I25" s="2" t="s">
        <v>20</v>
      </c>
      <c r="J25" s="29">
        <f>J20/C11</f>
        <v>96.635227634511295</v>
      </c>
      <c r="L25" s="29">
        <f>L23+L24</f>
        <v>21.601487825173962</v>
      </c>
      <c r="M25" s="2" t="s">
        <v>23</v>
      </c>
      <c r="O25" s="1" t="s">
        <v>24</v>
      </c>
      <c r="P25" s="30" t="str">
        <f>IF(P21&lt;0,"MALÉ !",P21)</f>
        <v>MALÉ !</v>
      </c>
      <c r="R25" s="28">
        <f>0.105*P26</f>
        <v>0</v>
      </c>
      <c r="S25" s="4" t="s">
        <v>34</v>
      </c>
      <c r="T25" s="4"/>
      <c r="U25" s="4"/>
      <c r="V25" s="4"/>
      <c r="W25" s="4"/>
      <c r="X25" s="4"/>
      <c r="Y25" s="4"/>
      <c r="Z25" s="4"/>
    </row>
    <row r="26" spans="2:26" x14ac:dyDescent="0.25">
      <c r="O26" s="31" t="s">
        <v>21</v>
      </c>
      <c r="P26" s="26">
        <f>IF(P21&lt;0,0,P21/C25)</f>
        <v>0</v>
      </c>
      <c r="Q26" s="31" t="s">
        <v>42</v>
      </c>
      <c r="R26" s="28">
        <f>R23+R25</f>
        <v>36.198272522837563</v>
      </c>
      <c r="S26" s="4"/>
      <c r="T26" s="4"/>
      <c r="U26" s="4"/>
      <c r="V26" s="4"/>
      <c r="W26" s="4"/>
      <c r="X26" s="4"/>
      <c r="Y26" s="4"/>
      <c r="Z26" s="4"/>
    </row>
    <row r="27" spans="2:26" ht="18.75" x14ac:dyDescent="0.3">
      <c r="I27" s="2" t="s">
        <v>26</v>
      </c>
      <c r="J27" s="29">
        <f>J25+P26</f>
        <v>96.635227634511295</v>
      </c>
      <c r="L27" s="29">
        <f>L25+R26</f>
        <v>57.799760348011525</v>
      </c>
      <c r="M27" s="2" t="s">
        <v>25</v>
      </c>
      <c r="Q27" s="13"/>
    </row>
    <row r="28" spans="2:26" x14ac:dyDescent="0.25">
      <c r="J28" s="2" t="str">
        <f>IF(P21&lt;0,"ASI !","")</f>
        <v>ASI !</v>
      </c>
    </row>
    <row r="29" spans="2:26" x14ac:dyDescent="0.25">
      <c r="J29" s="2"/>
      <c r="L29" s="2"/>
      <c r="M29" s="2"/>
      <c r="Q29" s="1" t="s">
        <v>70</v>
      </c>
    </row>
    <row r="30" spans="2:26" ht="21" x14ac:dyDescent="0.35">
      <c r="I30" s="29"/>
      <c r="J30" s="29"/>
      <c r="K30" s="29"/>
      <c r="L30" s="29"/>
      <c r="M30" s="2" t="s">
        <v>96</v>
      </c>
      <c r="N30" s="32">
        <f>J25/J27</f>
        <v>1</v>
      </c>
      <c r="O30" s="2" t="s">
        <v>97</v>
      </c>
      <c r="P30" s="33">
        <f>L25/L27</f>
        <v>0.37372971263395754</v>
      </c>
      <c r="Q30" s="34">
        <f>SQRT(Y13*Y13+P30*P30*0.0026)</f>
        <v>3.4335959017679725E-2</v>
      </c>
    </row>
    <row r="34" spans="3:15" x14ac:dyDescent="0.25">
      <c r="C34" s="27"/>
      <c r="D34" s="35"/>
    </row>
    <row r="35" spans="3:15" x14ac:dyDescent="0.25">
      <c r="C35" s="27"/>
      <c r="D35" s="35"/>
    </row>
    <row r="36" spans="3:15" x14ac:dyDescent="0.25">
      <c r="C36" s="27"/>
      <c r="D36" s="35"/>
      <c r="E36" s="35"/>
    </row>
    <row r="38" spans="3:15" x14ac:dyDescent="0.25">
      <c r="J38" s="2"/>
      <c r="N38" s="2"/>
      <c r="O38" s="2"/>
    </row>
    <row r="39" spans="3:15" x14ac:dyDescent="0.25">
      <c r="I39" s="2"/>
      <c r="J39" s="2"/>
      <c r="N39" s="2"/>
      <c r="O39" s="2"/>
    </row>
    <row r="40" spans="3:15" x14ac:dyDescent="0.25">
      <c r="I40" s="2"/>
      <c r="J40" s="2"/>
      <c r="N40" s="2"/>
      <c r="O40" s="2"/>
    </row>
    <row r="41" spans="3:15" x14ac:dyDescent="0.25">
      <c r="I41" s="2"/>
      <c r="J41" s="2"/>
      <c r="N41" s="2"/>
      <c r="O41" s="2"/>
    </row>
  </sheetData>
  <sheetProtection algorithmName="SHA-512" hashValue="L77g4dshDPF1bYfmU1pucxxCBKQaSlMhm4YpN55je4el2czYysV66i9Rix9gjQPl5DLhyxq3XXbT9+uE59hqxw==" saltValue="Ne95OC2igIcpHPzwGH9K7w==" spinCount="100000" sheet="1" objects="1" scenarios="1" selectLockedCells="1" selectUnlockedCells="1"/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vypocet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Burian</dc:creator>
  <cp:lastModifiedBy>Petr Otáhal</cp:lastModifiedBy>
  <dcterms:created xsi:type="dcterms:W3CDTF">2017-02-22T06:10:30Z</dcterms:created>
  <dcterms:modified xsi:type="dcterms:W3CDTF">2020-09-02T11:42:27Z</dcterms:modified>
</cp:coreProperties>
</file>